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budinge\Documents\Bureautique\Enseignement\INSA\5A_Sizing\2025-2026\"/>
    </mc:Choice>
  </mc:AlternateContent>
  <xr:revisionPtr revIDLastSave="0" documentId="13_ncr:1_{846833B3-3B66-46B1-A179-AB97E6C6DF73}" xr6:coauthVersionLast="36" xr6:coauthVersionMax="36" xr10:uidLastSave="{00000000-0000-0000-0000-000000000000}"/>
  <bookViews>
    <workbookView xWindow="0" yWindow="0" windowWidth="9570" windowHeight="8250" activeTab="1" xr2:uid="{00000000-000D-0000-FFFF-FFFF00000000}"/>
  </bookViews>
  <sheets>
    <sheet name="XDSM" sheetId="4" r:id="rId1"/>
    <sheet name="FirstSizing" sheetId="3" r:id="rId2"/>
  </sheets>
  <definedNames>
    <definedName name="_xlnm._FilterDatabase" localSheetId="1" hidden="1">FirstSizing!$B$24:$I$45</definedName>
    <definedName name="a_to" localSheetId="1">FirstSizing!$G$9</definedName>
    <definedName name="a_to">#REF!</definedName>
    <definedName name="alpha_sep" localSheetId="1">FirstSizing!#REF!</definedName>
    <definedName name="alpha_sep">#REF!</definedName>
    <definedName name="beta_pro" localSheetId="1">FirstSizing!$G$21</definedName>
    <definedName name="beta_pro">#REF!</definedName>
    <definedName name="C_bat" localSheetId="1">FirstSizing!#REF!</definedName>
    <definedName name="C_bat">#REF!</definedName>
    <definedName name="Cp_pro" localSheetId="1">FirstSizing!$F$30</definedName>
    <definedName name="Cp_pro">#REF!</definedName>
    <definedName name="Ct_pro" localSheetId="1">FirstSizing!$F$29</definedName>
    <definedName name="Ct_pro">#REF!</definedName>
    <definedName name="D_in_arm" localSheetId="1">FirstSizing!#REF!</definedName>
    <definedName name="D_in_arm">#REF!</definedName>
    <definedName name="D_out_arm" localSheetId="1">FirstSizing!#REF!</definedName>
    <definedName name="D_out_arm">#REF!</definedName>
    <definedName name="D_pro" localSheetId="1">FirstSizing!$F$32</definedName>
    <definedName name="D_pro">#REF!</definedName>
    <definedName name="D_pro_ref" localSheetId="1">FirstSizing!$H$32</definedName>
    <definedName name="D_pro_ref">#REF!</definedName>
    <definedName name="e_arm" localSheetId="1">FirstSizing!#REF!</definedName>
    <definedName name="e_arm">#REF!</definedName>
    <definedName name="E_bat" localSheetId="1">FirstSizing!$F$43</definedName>
    <definedName name="E_bat">#REF!</definedName>
    <definedName name="E_bat_dis" localSheetId="1">FirstSizing!$G$14</definedName>
    <definedName name="E_bat_dis">#REF!</definedName>
    <definedName name="E_bat_ref" localSheetId="1">FirstSizing!$H$43</definedName>
    <definedName name="E_bat_ref">#REF!</definedName>
    <definedName name="E_flight">FirstSizing!$F$40</definedName>
    <definedName name="F_pro_hov" localSheetId="1">FirstSizing!$F$27</definedName>
    <definedName name="F_pro_hov">#REF!</definedName>
    <definedName name="F_pro_to" localSheetId="1">FirstSizing!$F$28</definedName>
    <definedName name="F_pro_to">#REF!</definedName>
    <definedName name="g" localSheetId="1">FirstSizing!$G$10</definedName>
    <definedName name="g">#REF!</definedName>
    <definedName name="I_bat_hov" localSheetId="1">FirstSizing!#REF!</definedName>
    <definedName name="I_bat_hov">#REF!</definedName>
    <definedName name="I_bat_to" localSheetId="1">FirstSizing!#REF!</definedName>
    <definedName name="I_bat_to">#REF!</definedName>
    <definedName name="I_mot_hov" localSheetId="1">FirstSizing!#REF!</definedName>
    <definedName name="I_mot_hov">#REF!</definedName>
    <definedName name="I_mot_to" localSheetId="1">FirstSizing!#REF!</definedName>
    <definedName name="I_mot_to">#REF!</definedName>
    <definedName name="k_bat">FirstSizing!$G$20</definedName>
    <definedName name="K_D_arm" localSheetId="1">FirstSizing!#REF!</definedName>
    <definedName name="K_D_arm">#REF!</definedName>
    <definedName name="k_mb" localSheetId="1">FirstSizing!#REF!</definedName>
    <definedName name="k_mb">#REF!</definedName>
    <definedName name="k_mot" localSheetId="1">FirstSizing!#REF!</definedName>
    <definedName name="k_mot">#REF!</definedName>
    <definedName name="k_MTOW" localSheetId="1">FirstSizing!$G$18</definedName>
    <definedName name="k_MTOW">#REF!</definedName>
    <definedName name="k_ND" localSheetId="1">FirstSizing!$G$19</definedName>
    <definedName name="k_ND">#REF!</definedName>
    <definedName name="k_speed_mot" localSheetId="1">FirstSizing!#REF!</definedName>
    <definedName name="k_speed_mot">#REF!</definedName>
    <definedName name="k_vb" localSheetId="1">FirstSizing!#REF!</definedName>
    <definedName name="k_vb">#REF!</definedName>
    <definedName name="Kt_mot" localSheetId="1">FirstSizing!#REF!</definedName>
    <definedName name="Kt_mot">#REF!</definedName>
    <definedName name="Kt_mot_ref" localSheetId="1">FirstSizing!#REF!</definedName>
    <definedName name="Kt_mot_ref">#REF!</definedName>
    <definedName name="L_arm" localSheetId="1">FirstSizing!#REF!</definedName>
    <definedName name="L_arm">#REF!</definedName>
    <definedName name="M_arm" localSheetId="1">FirstSizing!#REF!</definedName>
    <definedName name="M_arm">#REF!</definedName>
    <definedName name="M_bat" localSheetId="1">FirstSizing!$F$42</definedName>
    <definedName name="M_bat">#REF!</definedName>
    <definedName name="M_bat_ref" localSheetId="1">FirstSizing!$H$42</definedName>
    <definedName name="M_bat_ref">#REF!</definedName>
    <definedName name="M_esc" localSheetId="1">FirstSizing!#REF!</definedName>
    <definedName name="M_esc">#REF!</definedName>
    <definedName name="M_esc_ref" localSheetId="1">FirstSizing!#REF!</definedName>
    <definedName name="M_esc_ref">#REF!</definedName>
    <definedName name="M_frame" localSheetId="1">FirstSizing!#REF!</definedName>
    <definedName name="M_frame">#REF!</definedName>
    <definedName name="M_mot" localSheetId="1">FirstSizing!#REF!</definedName>
    <definedName name="M_mot">#REF!</definedName>
    <definedName name="M_mot_ref" localSheetId="1">FirstSizing!#REF!</definedName>
    <definedName name="M_mot_ref">#REF!</definedName>
    <definedName name="M_payload" localSheetId="1">FirstSizing!$G$7</definedName>
    <definedName name="M_payload">#REF!</definedName>
    <definedName name="M_pro" localSheetId="1">FirstSizing!$F$37</definedName>
    <definedName name="M_pro">#REF!</definedName>
    <definedName name="M_pro_ref" localSheetId="1">FirstSizing!$H$37</definedName>
    <definedName name="M_pro_ref">#REF!</definedName>
    <definedName name="MTOW" localSheetId="1">FirstSizing!$F$45</definedName>
    <definedName name="MTOW">#REF!</definedName>
    <definedName name="MTOW_est" localSheetId="1">FirstSizing!$F$25</definedName>
    <definedName name="MTOW_est">#REF!</definedName>
    <definedName name="N_arm" localSheetId="1">FirstSizing!$G$13</definedName>
    <definedName name="N_arm">#REF!</definedName>
    <definedName name="N_pro" localSheetId="1">FirstSizing!$F$26</definedName>
    <definedName name="N_pro">#REF!</definedName>
    <definedName name="N_pro_arm" localSheetId="1">FirstSizing!$G$12</definedName>
    <definedName name="N_pro_arm">#REF!</definedName>
    <definedName name="n_pro_hov" localSheetId="1">FirstSizing!$F$35</definedName>
    <definedName name="n_pro_hov">#REF!</definedName>
    <definedName name="n_pro_to" localSheetId="1">FirstSizing!$F$33</definedName>
    <definedName name="n_pro_to">#REF!</definedName>
    <definedName name="N_s_bat">#REF!</definedName>
    <definedName name="ND_max" localSheetId="1">FirstSizing!$F$31</definedName>
    <definedName name="ND_max">#REF!</definedName>
    <definedName name="nu_esc" localSheetId="1">FirstSizing!$G$15</definedName>
    <definedName name="nu_esc">#REF!</definedName>
    <definedName name="nu_motor">FirstSizing!$G$16</definedName>
    <definedName name="P_bat_ref">FirstSizing!$H$44</definedName>
    <definedName name="P_esc_ref" localSheetId="1">FirstSizing!#REF!</definedName>
    <definedName name="P_esc_ref">#REF!</definedName>
    <definedName name="P_esc_to" localSheetId="1">FirstSizing!#REF!</definedName>
    <definedName name="P_esc_to">#REF!</definedName>
    <definedName name="P_mot_hov" localSheetId="1">FirstSizing!#REF!</definedName>
    <definedName name="P_mot_hov">#REF!</definedName>
    <definedName name="P_mot_to" localSheetId="1">FirstSizing!#REF!</definedName>
    <definedName name="P_mot_to">#REF!</definedName>
    <definedName name="P_pro_hov" localSheetId="1">FirstSizing!$F$38</definedName>
    <definedName name="P_pro_hov">#REF!</definedName>
    <definedName name="P_pro_to" localSheetId="1">FirstSizing!$F$39</definedName>
    <definedName name="P_pro_to">#REF!</definedName>
    <definedName name="R_mot" localSheetId="1">FirstSizing!#REF!</definedName>
    <definedName name="R_mot">#REF!</definedName>
    <definedName name="R_mot_ref" localSheetId="1">FirstSizing!#REF!</definedName>
    <definedName name="R_mot_ref">#REF!</definedName>
    <definedName name="RatSM_Load">FirstSizing!$G$17</definedName>
    <definedName name="rho" localSheetId="1">FirstSizing!$G$11</definedName>
    <definedName name="rho">#REF!</definedName>
    <definedName name="rho_frame" localSheetId="1">FirstSizing!#REF!</definedName>
    <definedName name="rho_frame">#REF!</definedName>
    <definedName name="sigma_max" localSheetId="1">FirstSizing!#REF!</definedName>
    <definedName name="sigma_max">#REF!</definedName>
    <definedName name="solver_adj" localSheetId="1" hidden="1">FirstSizing!$E$18:$E$21</definedName>
    <definedName name="solver_cvg" localSheetId="1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0" localSheetId="1" hidden="1">FirstSizing!$D$50</definedName>
    <definedName name="solver_lhs1" localSheetId="1" hidden="1">FirstSizing!$D$50:$D$51</definedName>
    <definedName name="solver_lhs2" localSheetId="1" hidden="1">FirstSizing!$G$18:$G$21</definedName>
    <definedName name="solver_lhs3" localSheetId="1" hidden="1">FirstSizing!$G$18:$G$21</definedName>
    <definedName name="solver_lhs4" localSheetId="1" hidden="1">FirstSizing!$D$51</definedName>
    <definedName name="solver_lhs5" localSheetId="1" hidden="1">FirstSizing!#REF!</definedName>
    <definedName name="solver_lhs6" localSheetId="1" hidden="1">FirstSizing!$G$18:$G$21</definedName>
    <definedName name="solver_lhs7" localSheetId="1" hidden="1">FirstSizing!$G$18:$G$21</definedName>
    <definedName name="solver_mip" localSheetId="1" hidden="1">2147483647</definedName>
    <definedName name="solver_mni" localSheetId="1" hidden="1">30</definedName>
    <definedName name="solver_mrt" localSheetId="1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pre" localSheetId="1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1" hidden="1">1</definedName>
    <definedName name="solver_rel0" localSheetId="1" hidden="1">1</definedName>
    <definedName name="solver_rel1" localSheetId="1" hidden="1">1</definedName>
    <definedName name="solver_rel2" localSheetId="1" hidden="1">3</definedName>
    <definedName name="solver_rel3" localSheetId="1" hidden="1">3</definedName>
    <definedName name="solver_rel4" localSheetId="1" hidden="1">1</definedName>
    <definedName name="solver_rel5" localSheetId="1" hidden="1">1</definedName>
    <definedName name="solver_rel6" localSheetId="1" hidden="1">1</definedName>
    <definedName name="solver_rel7" localSheetId="1" hidden="1">3</definedName>
    <definedName name="solver_rhs0" localSheetId="1" hidden="1">FirstSizing!$F$50</definedName>
    <definedName name="solver_rhs1" localSheetId="1" hidden="1">FirstSizing!$F$50:$F$51</definedName>
    <definedName name="solver_rhs2" localSheetId="1" hidden="1">FirstSizing!$I$18:$I$21</definedName>
    <definedName name="solver_rhs3" localSheetId="1" hidden="1">FirstSizing!$I$18:$I$21</definedName>
    <definedName name="solver_rhs4" localSheetId="1" hidden="1">FirstSizing!$F$51</definedName>
    <definedName name="solver_rhs5" localSheetId="1" hidden="1">FirstSizing!#REF!</definedName>
    <definedName name="solver_rhs6" localSheetId="1" hidden="1">FirstSizing!$J$18:$J$21</definedName>
    <definedName name="solver_rhs7" localSheetId="1" hidden="1">FirstSizing!$I$18:$I$21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  <definedName name="t_hover" localSheetId="1">FirstSizing!$G$8</definedName>
    <definedName name="t_hover">#REF!</definedName>
    <definedName name="t_hover_real" localSheetId="1">FirstSizing!#REF!</definedName>
    <definedName name="t_hover_real">#REF!</definedName>
    <definedName name="T_mot_fr" localSheetId="1">FirstSizing!#REF!</definedName>
    <definedName name="T_mot_fr">#REF!</definedName>
    <definedName name="T_mot_fr_ref" localSheetId="1">FirstSizing!#REF!</definedName>
    <definedName name="T_mot_fr_ref">#REF!</definedName>
    <definedName name="T_mot_max" localSheetId="1">FirstSizing!#REF!</definedName>
    <definedName name="T_mot_max">#REF!</definedName>
    <definedName name="T_mot_max_ref" localSheetId="1">FirstSizing!#REF!</definedName>
    <definedName name="T_mot_max_ref">#REF!</definedName>
    <definedName name="T_mot_nom" localSheetId="1">FirstSizing!#REF!</definedName>
    <definedName name="T_mot_nom">#REF!</definedName>
    <definedName name="T_mot_nom_ref" localSheetId="1">FirstSizing!#REF!</definedName>
    <definedName name="T_mot_nom_ref">#REF!</definedName>
    <definedName name="T_pro_hov" localSheetId="1">FirstSizing!#REF!</definedName>
    <definedName name="T_pro_hov">#REF!</definedName>
    <definedName name="T_pro_to" localSheetId="1">FirstSizing!#REF!</definedName>
    <definedName name="T_pro_to">#REF!</definedName>
    <definedName name="U_bat" localSheetId="1">FirstSizing!#REF!</definedName>
    <definedName name="U_bat">#REF!</definedName>
    <definedName name="U_bat_est" localSheetId="1">FirstSizing!#REF!</definedName>
    <definedName name="U_bat_est">#REF!</definedName>
    <definedName name="U_cell" localSheetId="1">FirstSizing!#REF!</definedName>
    <definedName name="U_cell">#REF!</definedName>
    <definedName name="U_esc" localSheetId="1">FirstSizing!#REF!</definedName>
    <definedName name="U_esc">#REF!</definedName>
    <definedName name="U_mot_hov" localSheetId="1">FirstSizing!#REF!</definedName>
    <definedName name="U_mot_hov">#REF!</definedName>
    <definedName name="U_mot_to" localSheetId="1">FirstSizing!#REF!</definedName>
    <definedName name="U_mot_to">#REF!</definedName>
    <definedName name="w_pro_hov" localSheetId="1">FirstSizing!$F$36</definedName>
    <definedName name="w_pro_hov">#REF!</definedName>
    <definedName name="w_pro_to" localSheetId="1">FirstSizing!$F$34</definedName>
    <definedName name="w_pro_t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3" l="1"/>
  <c r="J43" i="3" l="1"/>
  <c r="G7" i="3"/>
  <c r="H44" i="3" l="1"/>
  <c r="G20" i="3"/>
  <c r="G16" i="3"/>
  <c r="G17" i="3"/>
  <c r="H37" i="3"/>
  <c r="H32" i="3"/>
  <c r="F31" i="3"/>
  <c r="F25" i="3"/>
  <c r="F50" i="3" s="1"/>
  <c r="G21" i="3"/>
  <c r="F29" i="3" s="1"/>
  <c r="G19" i="3"/>
  <c r="G18" i="3"/>
  <c r="G15" i="3"/>
  <c r="G14" i="3"/>
  <c r="G13" i="3"/>
  <c r="G12" i="3"/>
  <c r="G10" i="3"/>
  <c r="G9" i="3" s="1"/>
  <c r="G8" i="3"/>
  <c r="F30" i="3" l="1"/>
  <c r="F26" i="3"/>
  <c r="F27" i="3" s="1"/>
  <c r="F28" i="3" l="1"/>
  <c r="F32" i="3" s="1"/>
  <c r="F35" i="3" l="1"/>
  <c r="F38" i="3" s="1"/>
  <c r="F37" i="3"/>
  <c r="F33" i="3"/>
  <c r="F40" i="3" l="1"/>
  <c r="F43" i="3" s="1"/>
  <c r="F42" i="3" s="1"/>
  <c r="F45" i="3" s="1"/>
  <c r="F36" i="3"/>
  <c r="F34" i="3"/>
  <c r="F39" i="3"/>
  <c r="F41" i="3" l="1"/>
  <c r="D51" i="3" s="1"/>
  <c r="F44" i="3"/>
  <c r="F51" i="3" s="1"/>
  <c r="D50" i="3" l="1"/>
  <c r="D52" i="3"/>
</calcChain>
</file>

<file path=xl/sharedStrings.xml><?xml version="1.0" encoding="utf-8"?>
<sst xmlns="http://schemas.openxmlformats.org/spreadsheetml/2006/main" count="230" uniqueCount="130">
  <si>
    <t>Name</t>
  </si>
  <si>
    <t>Value</t>
  </si>
  <si>
    <t>Inputs</t>
  </si>
  <si>
    <t>Type</t>
  </si>
  <si>
    <t>Symbol</t>
  </si>
  <si>
    <t>Unit</t>
  </si>
  <si>
    <t>SI Value</t>
  </si>
  <si>
    <t>SI Unit</t>
  </si>
  <si>
    <t>Min</t>
  </si>
  <si>
    <t>Max</t>
  </si>
  <si>
    <t>Requirement</t>
  </si>
  <si>
    <t>[N]</t>
  </si>
  <si>
    <t>[m]</t>
  </si>
  <si>
    <t>[Hz]</t>
  </si>
  <si>
    <t>[rad/s]</t>
  </si>
  <si>
    <t>Mass</t>
  </si>
  <si>
    <t>[kg]</t>
  </si>
  <si>
    <t>[g]</t>
  </si>
  <si>
    <t>Design assumption</t>
  </si>
  <si>
    <t>Design variable</t>
  </si>
  <si>
    <t>[-]</t>
  </si>
  <si>
    <t>Sizing Procedure</t>
  </si>
  <si>
    <t>Equation</t>
  </si>
  <si>
    <t>Reference</t>
  </si>
  <si>
    <t>Scenario</t>
  </si>
  <si>
    <t>Estimation</t>
  </si>
  <si>
    <t>Optimization</t>
  </si>
  <si>
    <t>Operator</t>
  </si>
  <si>
    <t>Limit</t>
  </si>
  <si>
    <t>Constraint</t>
  </si>
  <si>
    <t>&lt;=</t>
  </si>
  <si>
    <t>Objective</t>
  </si>
  <si>
    <t>Total mass</t>
  </si>
  <si>
    <t>Constants</t>
  </si>
  <si>
    <t>Air density</t>
  </si>
  <si>
    <t>rho</t>
  </si>
  <si>
    <t>[kg/m3]</t>
  </si>
  <si>
    <t>Payload mass</t>
  </si>
  <si>
    <t>M_payload</t>
  </si>
  <si>
    <t>Hovering time</t>
  </si>
  <si>
    <t>t_hover</t>
  </si>
  <si>
    <t>Take off acceleration</t>
  </si>
  <si>
    <t>a_to</t>
  </si>
  <si>
    <t>Graviational constant</t>
  </si>
  <si>
    <t>g</t>
  </si>
  <si>
    <t>[m3 kg-1 s-2]</t>
  </si>
  <si>
    <t>[min]</t>
  </si>
  <si>
    <t>[s]</t>
  </si>
  <si>
    <t xml:space="preserve">Pitch/diameter ratio </t>
  </si>
  <si>
    <t>Component</t>
  </si>
  <si>
    <t>Propeller</t>
  </si>
  <si>
    <t>N_pro_arm</t>
  </si>
  <si>
    <t>Number of propellers per arm</t>
  </si>
  <si>
    <t>Number of arms</t>
  </si>
  <si>
    <t>N_arm</t>
  </si>
  <si>
    <t>Total number of propellers</t>
  </si>
  <si>
    <t>N_pro</t>
  </si>
  <si>
    <t>Force per propeller (hover)</t>
  </si>
  <si>
    <t>F_pro_hov</t>
  </si>
  <si>
    <t>Force per propeller (takeoff)</t>
  </si>
  <si>
    <t>F_pro_to</t>
  </si>
  <si>
    <t>beta_pro</t>
  </si>
  <si>
    <t>Thrust coefficient</t>
  </si>
  <si>
    <t>Ct_pro</t>
  </si>
  <si>
    <t>Cp_pro</t>
  </si>
  <si>
    <t>Power coefficient</t>
  </si>
  <si>
    <t>Diameter</t>
  </si>
  <si>
    <t>D_pro</t>
  </si>
  <si>
    <t>n_pro_to</t>
  </si>
  <si>
    <t>w_pro_to</t>
  </si>
  <si>
    <t>Rotational speed takeoff (freq.)</t>
  </si>
  <si>
    <t>Rotational speed takeoff</t>
  </si>
  <si>
    <t>Rotational speed hover (freq.)</t>
  </si>
  <si>
    <t>n_pro_hov</t>
  </si>
  <si>
    <t>w_pro_hov</t>
  </si>
  <si>
    <t>M_pro</t>
  </si>
  <si>
    <t>Power (hover)</t>
  </si>
  <si>
    <t>[W]</t>
  </si>
  <si>
    <t>P_pro_hov</t>
  </si>
  <si>
    <t>Power (takeoff)</t>
  </si>
  <si>
    <t>P_pro_to</t>
  </si>
  <si>
    <t>Solution</t>
  </si>
  <si>
    <t>[Hz.m]</t>
  </si>
  <si>
    <t>Max speed limit</t>
  </si>
  <si>
    <t>ND_max</t>
  </si>
  <si>
    <t>Technology</t>
  </si>
  <si>
    <t>k_ND</t>
  </si>
  <si>
    <t>Battery</t>
  </si>
  <si>
    <t>Slow down propeller  coeff.</t>
  </si>
  <si>
    <t>M_bat</t>
  </si>
  <si>
    <t>Battery % discharge margin</t>
  </si>
  <si>
    <t>E_bat_dis</t>
  </si>
  <si>
    <t>Energy</t>
  </si>
  <si>
    <t>E_bat</t>
  </si>
  <si>
    <t>[J]</t>
  </si>
  <si>
    <t>ESC power efficiency</t>
  </si>
  <si>
    <t>nu_esc</t>
  </si>
  <si>
    <t>System</t>
  </si>
  <si>
    <t>MTOW</t>
  </si>
  <si>
    <t>MTOW estimation</t>
  </si>
  <si>
    <t>MTOW_est</t>
  </si>
  <si>
    <t>MTOW oversizing coeff.</t>
  </si>
  <si>
    <t>k_MTOW</t>
  </si>
  <si>
    <t>MTOW consistency</t>
  </si>
  <si>
    <t>Motor efficiency</t>
  </si>
  <si>
    <t>nu_motor</t>
  </si>
  <si>
    <t>E_flight</t>
  </si>
  <si>
    <t>k_bat</t>
  </si>
  <si>
    <t>Battery oversizing</t>
  </si>
  <si>
    <t>P_max</t>
  </si>
  <si>
    <t>Max Power battery</t>
  </si>
  <si>
    <t>P_flight</t>
  </si>
  <si>
    <t>Maximum TakeOff Weight</t>
  </si>
  <si>
    <t>First multirotor sizing</t>
  </si>
  <si>
    <t>Structure+Motor / Load mass</t>
  </si>
  <si>
    <t>StructureMotorMassRatio</t>
  </si>
  <si>
    <t>=0.0438 + 0.1414 * beta_pro</t>
  </si>
  <si>
    <t>=-0.00148 + 0.0972 * beta_pro</t>
  </si>
  <si>
    <t>[Wh/kg]</t>
  </si>
  <si>
    <t>Max battery power (takeoff)</t>
  </si>
  <si>
    <t>Max Power (battery)</t>
  </si>
  <si>
    <t>=P_bat_ref*M_bat/M_bat_ref</t>
  </si>
  <si>
    <t>Total mass 
Hover + Take-Off</t>
  </si>
  <si>
    <t>k_ND
beta_pro</t>
  </si>
  <si>
    <t>Propeller sizing</t>
  </si>
  <si>
    <t>Battery sizing</t>
  </si>
  <si>
    <t>P hover
P take-off</t>
  </si>
  <si>
    <t>Objective and constraintes</t>
  </si>
  <si>
    <t>M total
F hover, F take-off</t>
  </si>
  <si>
    <t>XDSM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</si>
</sst>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8" xfId="0" applyBorder="1"/>
    <xf numFmtId="0" fontId="0" fillId="0" borderId="4" xfId="0" quotePrefix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1" fontId="0" fillId="0" borderId="4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/>
    </xf>
    <xf numFmtId="0" fontId="0" fillId="0" borderId="0" xfId="0" quotePrefix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0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1" xfId="0" applyBorder="1"/>
    <xf numFmtId="0" fontId="0" fillId="0" borderId="32" xfId="0" applyBorder="1"/>
    <xf numFmtId="0" fontId="0" fillId="0" borderId="33" xfId="0" applyBorder="1"/>
    <xf numFmtId="0" fontId="0" fillId="7" borderId="20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wrapText="1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405F-97DA-40CB-A5F7-05FDC8535B8A}">
  <dimension ref="A1:O17"/>
  <sheetViews>
    <sheetView workbookViewId="0">
      <selection activeCell="A2" sqref="A2"/>
    </sheetView>
  </sheetViews>
  <sheetFormatPr baseColWidth="10" defaultRowHeight="15" x14ac:dyDescent="0.25"/>
  <sheetData>
    <row r="1" spans="1:15" x14ac:dyDescent="0.25">
      <c r="A1" t="s">
        <v>129</v>
      </c>
    </row>
    <row r="2" spans="1:15" ht="15.75" thickBot="1" x14ac:dyDescent="0.3"/>
    <row r="3" spans="1:15" x14ac:dyDescent="0.25">
      <c r="B3" s="63" t="s">
        <v>124</v>
      </c>
      <c r="C3" s="64"/>
      <c r="E3" s="79" t="s">
        <v>102</v>
      </c>
      <c r="F3" s="80"/>
      <c r="G3" s="68"/>
      <c r="H3" s="83" t="s">
        <v>123</v>
      </c>
      <c r="I3" s="84"/>
      <c r="J3" s="68"/>
      <c r="K3" s="79" t="s">
        <v>107</v>
      </c>
      <c r="L3" s="80"/>
    </row>
    <row r="4" spans="1:15" ht="15.75" thickBot="1" x14ac:dyDescent="0.3">
      <c r="B4" s="65"/>
      <c r="C4" s="66"/>
      <c r="D4" s="67"/>
      <c r="E4" s="81" t="s">
        <v>102</v>
      </c>
      <c r="F4" s="82"/>
      <c r="H4" s="85"/>
      <c r="I4" s="86"/>
      <c r="K4" s="81"/>
      <c r="L4" s="82"/>
    </row>
    <row r="5" spans="1:15" x14ac:dyDescent="0.25">
      <c r="B5" s="52"/>
      <c r="E5" s="62"/>
      <c r="I5" s="69"/>
      <c r="L5" s="69"/>
    </row>
    <row r="6" spans="1:15" ht="15.75" thickBot="1" x14ac:dyDescent="0.3">
      <c r="B6" s="62"/>
      <c r="E6" s="53"/>
      <c r="I6" s="70"/>
      <c r="L6" s="71"/>
    </row>
    <row r="7" spans="1:15" ht="18.75" customHeight="1" x14ac:dyDescent="0.25">
      <c r="B7" s="62"/>
      <c r="E7" s="54" t="s">
        <v>122</v>
      </c>
      <c r="F7" s="55"/>
      <c r="H7" s="58" t="s">
        <v>128</v>
      </c>
      <c r="I7" s="59"/>
      <c r="J7" s="70"/>
      <c r="L7" s="71"/>
    </row>
    <row r="8" spans="1:15" ht="15.75" thickBot="1" x14ac:dyDescent="0.3">
      <c r="B8" s="62"/>
      <c r="E8" s="56"/>
      <c r="F8" s="57"/>
      <c r="G8" s="67"/>
      <c r="H8" s="60"/>
      <c r="I8" s="61"/>
      <c r="K8" s="76"/>
      <c r="L8" s="69"/>
      <c r="M8" s="74"/>
      <c r="N8" s="76"/>
    </row>
    <row r="9" spans="1:15" ht="15.75" thickBot="1" x14ac:dyDescent="0.3">
      <c r="B9" s="62"/>
      <c r="H9" s="72"/>
      <c r="L9" s="70"/>
      <c r="O9" s="71"/>
    </row>
    <row r="10" spans="1:15" x14ac:dyDescent="0.25">
      <c r="B10" s="62"/>
      <c r="H10" s="54" t="s">
        <v>124</v>
      </c>
      <c r="I10" s="55"/>
      <c r="K10" s="58" t="s">
        <v>126</v>
      </c>
      <c r="L10" s="59"/>
      <c r="N10" s="62"/>
    </row>
    <row r="11" spans="1:15" ht="15.75" thickBot="1" x14ac:dyDescent="0.3">
      <c r="B11" s="62"/>
      <c r="H11" s="56"/>
      <c r="I11" s="57"/>
      <c r="J11" s="67"/>
      <c r="K11" s="60"/>
      <c r="L11" s="61"/>
      <c r="O11" s="71"/>
    </row>
    <row r="12" spans="1:15" ht="15.75" thickBot="1" x14ac:dyDescent="0.3">
      <c r="B12" s="62"/>
      <c r="K12" s="72"/>
      <c r="O12" s="71"/>
    </row>
    <row r="13" spans="1:15" x14ac:dyDescent="0.25">
      <c r="B13" s="62"/>
      <c r="K13" s="54" t="s">
        <v>125</v>
      </c>
      <c r="L13" s="55"/>
      <c r="O13" s="71"/>
    </row>
    <row r="14" spans="1:15" ht="15.75" thickBot="1" x14ac:dyDescent="0.3">
      <c r="B14" s="62"/>
      <c r="K14" s="56"/>
      <c r="L14" s="57"/>
      <c r="M14" s="73"/>
      <c r="N14" s="74"/>
      <c r="O14" s="71"/>
    </row>
    <row r="15" spans="1:15" ht="15.75" thickBot="1" x14ac:dyDescent="0.3">
      <c r="B15" s="62"/>
      <c r="O15" s="75"/>
    </row>
    <row r="16" spans="1:15" x14ac:dyDescent="0.25">
      <c r="B16" s="62"/>
      <c r="D16" s="78"/>
      <c r="L16" s="78"/>
      <c r="N16" s="54" t="s">
        <v>127</v>
      </c>
      <c r="O16" s="55"/>
    </row>
    <row r="17" spans="3:15" ht="15.75" thickBot="1" x14ac:dyDescent="0.3">
      <c r="C17" s="74"/>
      <c r="E17" s="74"/>
      <c r="F17" s="74"/>
      <c r="G17" s="74"/>
      <c r="H17" s="74"/>
      <c r="I17" s="74"/>
      <c r="J17" s="74"/>
      <c r="K17" s="74"/>
      <c r="M17" s="77"/>
      <c r="N17" s="56"/>
      <c r="O17" s="57"/>
    </row>
  </sheetData>
  <mergeCells count="10">
    <mergeCell ref="K13:L14"/>
    <mergeCell ref="N16:O17"/>
    <mergeCell ref="B3:C4"/>
    <mergeCell ref="E3:F4"/>
    <mergeCell ref="K3:L4"/>
    <mergeCell ref="E7:F8"/>
    <mergeCell ref="H7:I8"/>
    <mergeCell ref="H3:I4"/>
    <mergeCell ref="K10:L11"/>
    <mergeCell ref="H10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28" zoomScale="115" zoomScaleNormal="115" workbookViewId="0">
      <selection activeCell="E22" sqref="E22"/>
    </sheetView>
  </sheetViews>
  <sheetFormatPr baseColWidth="10" defaultRowHeight="15" x14ac:dyDescent="0.25"/>
  <cols>
    <col min="1" max="1" width="16.140625" bestFit="1" customWidth="1"/>
    <col min="2" max="2" width="23.85546875" customWidth="1"/>
    <col min="3" max="3" width="27.42578125" bestFit="1" customWidth="1"/>
    <col min="4" max="4" width="33.28515625" customWidth="1"/>
    <col min="5" max="5" width="11.85546875" bestFit="1" customWidth="1"/>
    <col min="6" max="6" width="11.5703125" bestFit="1" customWidth="1"/>
    <col min="7" max="7" width="11.85546875" bestFit="1" customWidth="1"/>
    <col min="8" max="8" width="14.140625" customWidth="1"/>
    <col min="9" max="9" width="11.42578125" bestFit="1" customWidth="1"/>
    <col min="10" max="10" width="9.140625" customWidth="1"/>
  </cols>
  <sheetData>
    <row r="1" spans="1:10" ht="11.1" customHeight="1" thickBot="1" x14ac:dyDescent="0.3"/>
    <row r="2" spans="1:10" ht="30.6" customHeight="1" thickBot="1" x14ac:dyDescent="0.3">
      <c r="A2" s="49" t="s">
        <v>113</v>
      </c>
      <c r="B2" s="50"/>
      <c r="C2" s="50"/>
      <c r="D2" s="50"/>
      <c r="E2" s="50"/>
      <c r="F2" s="50"/>
      <c r="G2" s="50"/>
      <c r="H2" s="50"/>
      <c r="I2" s="50"/>
      <c r="J2" s="51"/>
    </row>
    <row r="3" spans="1:10" ht="14.45" customHeight="1" x14ac:dyDescent="0.35">
      <c r="B3" s="4"/>
      <c r="C3" s="4"/>
      <c r="D3" s="4"/>
      <c r="E3" s="4"/>
      <c r="F3" s="4"/>
      <c r="G3" s="4"/>
    </row>
    <row r="4" spans="1:10" ht="14.45" customHeight="1" x14ac:dyDescent="0.25"/>
    <row r="5" spans="1:10" ht="15.75" thickBot="1" x14ac:dyDescent="0.3">
      <c r="A5" s="2" t="s">
        <v>2</v>
      </c>
    </row>
    <row r="6" spans="1:10" ht="15.75" thickBot="1" x14ac:dyDescent="0.3">
      <c r="B6" s="20" t="s">
        <v>3</v>
      </c>
      <c r="C6" s="21" t="s">
        <v>0</v>
      </c>
      <c r="D6" s="21" t="s">
        <v>4</v>
      </c>
      <c r="E6" s="21" t="s">
        <v>1</v>
      </c>
      <c r="F6" s="21" t="s">
        <v>5</v>
      </c>
      <c r="G6" s="21" t="s">
        <v>6</v>
      </c>
      <c r="H6" s="21" t="s">
        <v>7</v>
      </c>
      <c r="I6" s="21" t="s">
        <v>8</v>
      </c>
      <c r="J6" s="22" t="s">
        <v>9</v>
      </c>
    </row>
    <row r="7" spans="1:10" x14ac:dyDescent="0.25">
      <c r="B7" s="13" t="s">
        <v>10</v>
      </c>
      <c r="C7" s="7" t="s">
        <v>37</v>
      </c>
      <c r="D7" s="7" t="s">
        <v>38</v>
      </c>
      <c r="E7" s="8">
        <v>1</v>
      </c>
      <c r="F7" s="11" t="s">
        <v>16</v>
      </c>
      <c r="G7" s="7">
        <f>E7</f>
        <v>1</v>
      </c>
      <c r="H7" s="11" t="s">
        <v>16</v>
      </c>
      <c r="I7" s="7"/>
      <c r="J7" s="14"/>
    </row>
    <row r="8" spans="1:10" x14ac:dyDescent="0.25">
      <c r="B8" s="13" t="s">
        <v>10</v>
      </c>
      <c r="C8" s="5" t="s">
        <v>39</v>
      </c>
      <c r="D8" s="7" t="s">
        <v>40</v>
      </c>
      <c r="E8" s="8">
        <v>20</v>
      </c>
      <c r="F8" s="5" t="s">
        <v>46</v>
      </c>
      <c r="G8" s="5">
        <f>E8*60</f>
        <v>1200</v>
      </c>
      <c r="H8" s="5" t="s">
        <v>47</v>
      </c>
      <c r="I8" s="12"/>
      <c r="J8" s="14"/>
    </row>
    <row r="9" spans="1:10" x14ac:dyDescent="0.25">
      <c r="B9" s="13" t="s">
        <v>10</v>
      </c>
      <c r="C9" s="5" t="s">
        <v>41</v>
      </c>
      <c r="D9" s="5" t="s">
        <v>42</v>
      </c>
      <c r="E9" s="9">
        <v>1</v>
      </c>
      <c r="F9" s="5" t="s">
        <v>17</v>
      </c>
      <c r="G9" s="5">
        <f>E9*g</f>
        <v>9.81</v>
      </c>
      <c r="H9" s="5" t="s">
        <v>45</v>
      </c>
      <c r="I9" s="5"/>
      <c r="J9" s="15"/>
    </row>
    <row r="10" spans="1:10" x14ac:dyDescent="0.25">
      <c r="B10" s="13" t="s">
        <v>33</v>
      </c>
      <c r="C10" s="5" t="s">
        <v>43</v>
      </c>
      <c r="D10" s="5" t="s">
        <v>44</v>
      </c>
      <c r="E10" s="23">
        <v>9.81</v>
      </c>
      <c r="F10" s="5" t="s">
        <v>45</v>
      </c>
      <c r="G10" s="10">
        <f>E10</f>
        <v>9.81</v>
      </c>
      <c r="H10" s="5" t="s">
        <v>45</v>
      </c>
      <c r="I10" s="5"/>
      <c r="J10" s="15"/>
    </row>
    <row r="11" spans="1:10" x14ac:dyDescent="0.25">
      <c r="B11" s="13" t="s">
        <v>33</v>
      </c>
      <c r="C11" s="5" t="s">
        <v>34</v>
      </c>
      <c r="D11" s="5" t="s">
        <v>35</v>
      </c>
      <c r="E11" s="23">
        <v>1.1180000000000001</v>
      </c>
      <c r="F11" s="5" t="s">
        <v>36</v>
      </c>
      <c r="G11" s="10">
        <v>1.1180000000000001</v>
      </c>
      <c r="H11" s="5" t="s">
        <v>36</v>
      </c>
      <c r="I11" s="5"/>
      <c r="J11" s="15"/>
    </row>
    <row r="12" spans="1:10" x14ac:dyDescent="0.25">
      <c r="B12" s="13" t="s">
        <v>18</v>
      </c>
      <c r="C12" s="5" t="s">
        <v>52</v>
      </c>
      <c r="D12" s="5" t="s">
        <v>51</v>
      </c>
      <c r="E12" s="24">
        <v>1</v>
      </c>
      <c r="F12" s="5" t="s">
        <v>20</v>
      </c>
      <c r="G12" s="10">
        <f t="shared" ref="G12:G17" si="0">E12</f>
        <v>1</v>
      </c>
      <c r="H12" s="5" t="s">
        <v>20</v>
      </c>
      <c r="I12" s="5"/>
      <c r="J12" s="15"/>
    </row>
    <row r="13" spans="1:10" x14ac:dyDescent="0.25">
      <c r="B13" s="13" t="s">
        <v>18</v>
      </c>
      <c r="C13" s="5" t="s">
        <v>53</v>
      </c>
      <c r="D13" s="5" t="s">
        <v>54</v>
      </c>
      <c r="E13" s="24">
        <v>4</v>
      </c>
      <c r="F13" s="5" t="s">
        <v>20</v>
      </c>
      <c r="G13" s="10">
        <f t="shared" si="0"/>
        <v>4</v>
      </c>
      <c r="H13" s="5" t="s">
        <v>20</v>
      </c>
      <c r="I13" s="5"/>
      <c r="J13" s="15"/>
    </row>
    <row r="14" spans="1:10" x14ac:dyDescent="0.25">
      <c r="B14" s="13" t="s">
        <v>18</v>
      </c>
      <c r="C14" s="5" t="s">
        <v>90</v>
      </c>
      <c r="D14" s="5" t="s">
        <v>91</v>
      </c>
      <c r="E14" s="25">
        <v>0.2</v>
      </c>
      <c r="F14" s="5" t="s">
        <v>20</v>
      </c>
      <c r="G14" s="10">
        <f t="shared" si="0"/>
        <v>0.2</v>
      </c>
      <c r="H14" s="5" t="s">
        <v>20</v>
      </c>
      <c r="I14" s="5"/>
      <c r="J14" s="15"/>
    </row>
    <row r="15" spans="1:10" x14ac:dyDescent="0.25">
      <c r="B15" s="13" t="s">
        <v>18</v>
      </c>
      <c r="C15" s="5" t="s">
        <v>95</v>
      </c>
      <c r="D15" s="5" t="s">
        <v>96</v>
      </c>
      <c r="E15" s="26">
        <v>0.95</v>
      </c>
      <c r="F15" s="5" t="s">
        <v>20</v>
      </c>
      <c r="G15" s="10">
        <f t="shared" si="0"/>
        <v>0.95</v>
      </c>
      <c r="H15" s="5" t="s">
        <v>20</v>
      </c>
      <c r="I15" s="5"/>
      <c r="J15" s="15"/>
    </row>
    <row r="16" spans="1:10" x14ac:dyDescent="0.25">
      <c r="B16" s="13" t="s">
        <v>18</v>
      </c>
      <c r="C16" s="5" t="s">
        <v>104</v>
      </c>
      <c r="D16" s="5" t="s">
        <v>105</v>
      </c>
      <c r="E16" s="26">
        <v>0.8</v>
      </c>
      <c r="F16" s="5" t="s">
        <v>20</v>
      </c>
      <c r="G16" s="10">
        <f t="shared" si="0"/>
        <v>0.8</v>
      </c>
      <c r="H16" s="5" t="s">
        <v>20</v>
      </c>
      <c r="I16" s="5"/>
      <c r="J16" s="15"/>
    </row>
    <row r="17" spans="1:12" x14ac:dyDescent="0.25">
      <c r="B17" s="13" t="s">
        <v>18</v>
      </c>
      <c r="C17" s="5" t="s">
        <v>114</v>
      </c>
      <c r="D17" s="5" t="s">
        <v>115</v>
      </c>
      <c r="E17" s="26">
        <v>1</v>
      </c>
      <c r="F17" s="5" t="s">
        <v>20</v>
      </c>
      <c r="G17" s="10">
        <f t="shared" si="0"/>
        <v>1</v>
      </c>
      <c r="H17" s="5" t="s">
        <v>20</v>
      </c>
      <c r="I17" s="5"/>
      <c r="J17" s="15"/>
    </row>
    <row r="18" spans="1:12" x14ac:dyDescent="0.25">
      <c r="B18" s="13" t="s">
        <v>19</v>
      </c>
      <c r="C18" s="5" t="s">
        <v>101</v>
      </c>
      <c r="D18" s="5" t="s">
        <v>102</v>
      </c>
      <c r="E18" s="24">
        <v>1</v>
      </c>
      <c r="F18" s="5" t="s">
        <v>20</v>
      </c>
      <c r="G18" s="10">
        <f t="shared" ref="G18:G21" si="1">E18</f>
        <v>1</v>
      </c>
      <c r="H18" s="5" t="s">
        <v>20</v>
      </c>
      <c r="I18" s="5">
        <v>1</v>
      </c>
      <c r="J18" s="15">
        <v>10</v>
      </c>
    </row>
    <row r="19" spans="1:12" x14ac:dyDescent="0.25">
      <c r="B19" s="13" t="s">
        <v>19</v>
      </c>
      <c r="C19" s="5" t="s">
        <v>88</v>
      </c>
      <c r="D19" s="5" t="s">
        <v>86</v>
      </c>
      <c r="E19" s="24">
        <v>1</v>
      </c>
      <c r="F19" s="5" t="s">
        <v>20</v>
      </c>
      <c r="G19" s="10">
        <f t="shared" si="1"/>
        <v>1</v>
      </c>
      <c r="H19" s="5" t="s">
        <v>20</v>
      </c>
      <c r="I19" s="5">
        <v>1</v>
      </c>
      <c r="J19" s="15">
        <v>10</v>
      </c>
    </row>
    <row r="20" spans="1:12" x14ac:dyDescent="0.25">
      <c r="B20" s="13" t="s">
        <v>19</v>
      </c>
      <c r="C20" s="5" t="s">
        <v>108</v>
      </c>
      <c r="D20" s="5" t="s">
        <v>107</v>
      </c>
      <c r="E20" s="24">
        <v>1</v>
      </c>
      <c r="F20" s="5" t="s">
        <v>20</v>
      </c>
      <c r="G20" s="10">
        <f t="shared" si="1"/>
        <v>1</v>
      </c>
      <c r="H20" s="5" t="s">
        <v>20</v>
      </c>
      <c r="I20" s="5">
        <v>1</v>
      </c>
      <c r="J20" s="15">
        <v>10</v>
      </c>
    </row>
    <row r="21" spans="1:12" ht="15.75" thickBot="1" x14ac:dyDescent="0.3">
      <c r="B21" s="16" t="s">
        <v>19</v>
      </c>
      <c r="C21" s="17" t="s">
        <v>48</v>
      </c>
      <c r="D21" s="17" t="s">
        <v>61</v>
      </c>
      <c r="E21" s="18">
        <v>0.5</v>
      </c>
      <c r="F21" s="17" t="s">
        <v>20</v>
      </c>
      <c r="G21" s="17">
        <f t="shared" si="1"/>
        <v>0.5</v>
      </c>
      <c r="H21" s="17" t="s">
        <v>20</v>
      </c>
      <c r="I21" s="17">
        <v>0.3</v>
      </c>
      <c r="J21" s="19">
        <v>0.6</v>
      </c>
    </row>
    <row r="23" spans="1:12" ht="15.75" thickBot="1" x14ac:dyDescent="0.3">
      <c r="A23" s="2" t="s">
        <v>21</v>
      </c>
      <c r="L23" s="2"/>
    </row>
    <row r="24" spans="1:12" ht="15.75" thickBot="1" x14ac:dyDescent="0.3">
      <c r="B24" s="20" t="s">
        <v>49</v>
      </c>
      <c r="C24" s="21" t="s">
        <v>3</v>
      </c>
      <c r="D24" s="21" t="s">
        <v>0</v>
      </c>
      <c r="E24" s="21" t="s">
        <v>4</v>
      </c>
      <c r="F24" s="21" t="s">
        <v>22</v>
      </c>
      <c r="G24" s="21" t="s">
        <v>5</v>
      </c>
      <c r="H24" s="21" t="s">
        <v>23</v>
      </c>
      <c r="I24" s="32" t="s">
        <v>81</v>
      </c>
    </row>
    <row r="25" spans="1:12" x14ac:dyDescent="0.25">
      <c r="B25" s="33" t="s">
        <v>97</v>
      </c>
      <c r="C25" s="7" t="s">
        <v>25</v>
      </c>
      <c r="D25" s="7" t="s">
        <v>99</v>
      </c>
      <c r="E25" s="7" t="s">
        <v>100</v>
      </c>
      <c r="F25" s="28">
        <f>E18*E7</f>
        <v>1</v>
      </c>
      <c r="G25" s="7" t="s">
        <v>20</v>
      </c>
      <c r="H25" s="27"/>
      <c r="I25" s="40"/>
    </row>
    <row r="26" spans="1:12" x14ac:dyDescent="0.25">
      <c r="B26" s="33" t="s">
        <v>50</v>
      </c>
      <c r="C26" s="7" t="s">
        <v>24</v>
      </c>
      <c r="D26" s="7" t="s">
        <v>55</v>
      </c>
      <c r="E26" s="7" t="s">
        <v>56</v>
      </c>
      <c r="F26" s="28">
        <f>N_pro_arm*N_arm</f>
        <v>4</v>
      </c>
      <c r="G26" s="7" t="s">
        <v>20</v>
      </c>
      <c r="H26" s="7"/>
      <c r="I26" s="41"/>
    </row>
    <row r="27" spans="1:12" x14ac:dyDescent="0.25">
      <c r="B27" s="33" t="s">
        <v>50</v>
      </c>
      <c r="C27" s="7" t="s">
        <v>24</v>
      </c>
      <c r="D27" s="7" t="s">
        <v>57</v>
      </c>
      <c r="E27" s="7" t="s">
        <v>58</v>
      </c>
      <c r="F27" s="28">
        <f>MTOW_est*g/N_pro</f>
        <v>2.4525000000000001</v>
      </c>
      <c r="G27" s="7" t="s">
        <v>11</v>
      </c>
      <c r="H27" s="7"/>
      <c r="I27" s="41"/>
    </row>
    <row r="28" spans="1:12" x14ac:dyDescent="0.25">
      <c r="B28" s="33" t="s">
        <v>50</v>
      </c>
      <c r="C28" s="7" t="s">
        <v>24</v>
      </c>
      <c r="D28" s="7" t="s">
        <v>59</v>
      </c>
      <c r="E28" s="7" t="s">
        <v>60</v>
      </c>
      <c r="F28" s="28">
        <f>MTOW_est*(g+a_to)/N_pro</f>
        <v>4.9050000000000002</v>
      </c>
      <c r="G28" s="7" t="s">
        <v>11</v>
      </c>
      <c r="H28" s="7"/>
      <c r="I28" s="41"/>
    </row>
    <row r="29" spans="1:12" x14ac:dyDescent="0.25">
      <c r="B29" s="33" t="s">
        <v>50</v>
      </c>
      <c r="C29" s="7" t="s">
        <v>25</v>
      </c>
      <c r="D29" s="7" t="s">
        <v>62</v>
      </c>
      <c r="E29" s="7" t="s">
        <v>63</v>
      </c>
      <c r="F29" s="30">
        <f>0.0438 + 0.1414 * beta_pro</f>
        <v>0.11449999999999999</v>
      </c>
      <c r="G29" s="7" t="s">
        <v>20</v>
      </c>
      <c r="H29" s="7"/>
      <c r="I29" s="41"/>
      <c r="J29" s="48" t="s">
        <v>116</v>
      </c>
    </row>
    <row r="30" spans="1:12" x14ac:dyDescent="0.25">
      <c r="B30" s="33" t="s">
        <v>50</v>
      </c>
      <c r="C30" s="7" t="s">
        <v>25</v>
      </c>
      <c r="D30" s="7" t="s">
        <v>65</v>
      </c>
      <c r="E30" s="7" t="s">
        <v>64</v>
      </c>
      <c r="F30" s="30">
        <f>-0.00148 + 0.0972 * beta_pro</f>
        <v>4.7119999999999995E-2</v>
      </c>
      <c r="G30" s="7" t="s">
        <v>20</v>
      </c>
      <c r="H30" s="7"/>
      <c r="I30" s="41"/>
      <c r="J30" s="48" t="s">
        <v>117</v>
      </c>
    </row>
    <row r="31" spans="1:12" x14ac:dyDescent="0.25">
      <c r="B31" s="33" t="s">
        <v>50</v>
      </c>
      <c r="C31" s="5" t="s">
        <v>85</v>
      </c>
      <c r="D31" s="7" t="s">
        <v>83</v>
      </c>
      <c r="E31" s="7" t="s">
        <v>84</v>
      </c>
      <c r="F31" s="29">
        <f>105000/60*0.0254</f>
        <v>44.449999999999996</v>
      </c>
      <c r="G31" s="7" t="s">
        <v>82</v>
      </c>
      <c r="H31" s="7"/>
      <c r="I31" s="41"/>
    </row>
    <row r="32" spans="1:12" x14ac:dyDescent="0.25">
      <c r="B32" s="33" t="s">
        <v>50</v>
      </c>
      <c r="C32" s="7" t="s">
        <v>25</v>
      </c>
      <c r="D32" s="7" t="s">
        <v>66</v>
      </c>
      <c r="E32" s="7" t="s">
        <v>67</v>
      </c>
      <c r="F32" s="47">
        <f>(F_pro_to / (Ct_pro*rho*(ND_max/k_ND)^2))^0.5</f>
        <v>0.1392592639632621</v>
      </c>
      <c r="G32" s="7" t="s">
        <v>12</v>
      </c>
      <c r="H32" s="7">
        <f>11*0.0254</f>
        <v>0.27939999999999998</v>
      </c>
      <c r="I32" s="41"/>
    </row>
    <row r="33" spans="1:11" x14ac:dyDescent="0.25">
      <c r="B33" s="33" t="s">
        <v>50</v>
      </c>
      <c r="C33" s="7" t="s">
        <v>25</v>
      </c>
      <c r="D33" s="7" t="s">
        <v>70</v>
      </c>
      <c r="E33" s="7" t="s">
        <v>68</v>
      </c>
      <c r="F33" s="28">
        <f>ND_max / k_ND / D_pro</f>
        <v>319.18881900543664</v>
      </c>
      <c r="G33" s="7" t="s">
        <v>13</v>
      </c>
      <c r="H33" s="7"/>
      <c r="I33" s="41"/>
    </row>
    <row r="34" spans="1:11" x14ac:dyDescent="0.25">
      <c r="B34" s="33" t="s">
        <v>50</v>
      </c>
      <c r="C34" s="7" t="s">
        <v>25</v>
      </c>
      <c r="D34" s="7" t="s">
        <v>71</v>
      </c>
      <c r="E34" s="7" t="s">
        <v>69</v>
      </c>
      <c r="F34" s="28">
        <f>n_pro_to * 2*PI()</f>
        <v>2005.5224977909638</v>
      </c>
      <c r="G34" s="7" t="s">
        <v>14</v>
      </c>
      <c r="H34" s="7"/>
      <c r="I34" s="41"/>
    </row>
    <row r="35" spans="1:11" x14ac:dyDescent="0.25">
      <c r="B35" s="33" t="s">
        <v>50</v>
      </c>
      <c r="C35" s="7" t="s">
        <v>25</v>
      </c>
      <c r="D35" s="7" t="s">
        <v>72</v>
      </c>
      <c r="E35" s="7" t="s">
        <v>73</v>
      </c>
      <c r="F35" s="28">
        <f>SQRT(F_pro_hov/(Ct_pro * rho *D_pro^4))</f>
        <v>225.7005783976698</v>
      </c>
      <c r="G35" s="7" t="s">
        <v>13</v>
      </c>
      <c r="H35" s="7"/>
      <c r="I35" s="41"/>
    </row>
    <row r="36" spans="1:11" x14ac:dyDescent="0.25">
      <c r="B36" s="33" t="s">
        <v>50</v>
      </c>
      <c r="C36" s="7" t="s">
        <v>25</v>
      </c>
      <c r="D36" s="7" t="s">
        <v>72</v>
      </c>
      <c r="E36" s="7" t="s">
        <v>74</v>
      </c>
      <c r="F36" s="28">
        <f>n_pro_hov*2*PI()</f>
        <v>1418.1185580101733</v>
      </c>
      <c r="G36" s="7" t="s">
        <v>14</v>
      </c>
      <c r="H36" s="7"/>
      <c r="I36" s="42"/>
    </row>
    <row r="37" spans="1:11" x14ac:dyDescent="0.25">
      <c r="B37" s="33" t="s">
        <v>50</v>
      </c>
      <c r="C37" s="7" t="s">
        <v>25</v>
      </c>
      <c r="D37" s="7" t="s">
        <v>15</v>
      </c>
      <c r="E37" s="7" t="s">
        <v>75</v>
      </c>
      <c r="F37" s="31">
        <f>M_pro_ref * (D_pro/D_pro_ref)^3</f>
        <v>1.857185935581791E-3</v>
      </c>
      <c r="G37" s="7" t="s">
        <v>16</v>
      </c>
      <c r="H37" s="7">
        <f>0.53*0.0283</f>
        <v>1.4999E-2</v>
      </c>
      <c r="I37" s="42"/>
    </row>
    <row r="38" spans="1:11" x14ac:dyDescent="0.25">
      <c r="B38" s="33" t="s">
        <v>50</v>
      </c>
      <c r="C38" s="7" t="s">
        <v>25</v>
      </c>
      <c r="D38" s="7" t="s">
        <v>76</v>
      </c>
      <c r="E38" s="7" t="s">
        <v>78</v>
      </c>
      <c r="F38" s="28">
        <f>Cp_pro * rho * n_pro_hov^3 * D_pro^5</f>
        <v>31.72236651826368</v>
      </c>
      <c r="G38" s="7" t="s">
        <v>77</v>
      </c>
      <c r="H38" s="7"/>
      <c r="I38" s="42"/>
    </row>
    <row r="39" spans="1:11" x14ac:dyDescent="0.25">
      <c r="B39" s="33" t="s">
        <v>50</v>
      </c>
      <c r="C39" s="7" t="s">
        <v>25</v>
      </c>
      <c r="D39" s="7" t="s">
        <v>79</v>
      </c>
      <c r="E39" s="7" t="s">
        <v>80</v>
      </c>
      <c r="F39" s="28">
        <f>Cp_pro * rho * n_pro_to^3 * D_pro^5</f>
        <v>89.724401921397344</v>
      </c>
      <c r="G39" s="7" t="s">
        <v>77</v>
      </c>
      <c r="H39" s="7"/>
      <c r="I39" s="42"/>
    </row>
    <row r="40" spans="1:11" x14ac:dyDescent="0.25">
      <c r="B40" s="33" t="s">
        <v>87</v>
      </c>
      <c r="C40" s="7" t="s">
        <v>24</v>
      </c>
      <c r="D40" s="7" t="s">
        <v>92</v>
      </c>
      <c r="E40" s="7" t="s">
        <v>106</v>
      </c>
      <c r="F40" s="44">
        <f>P_pro_hov*t_hover*N_pro/nu_esc/nu_motor</f>
        <v>200351.78853640219</v>
      </c>
      <c r="G40" s="7" t="s">
        <v>94</v>
      </c>
      <c r="H40" s="6"/>
      <c r="I40" s="42"/>
    </row>
    <row r="41" spans="1:11" x14ac:dyDescent="0.25">
      <c r="B41" s="33" t="s">
        <v>87</v>
      </c>
      <c r="C41" s="7" t="s">
        <v>24</v>
      </c>
      <c r="D41" s="7" t="s">
        <v>119</v>
      </c>
      <c r="E41" s="7" t="s">
        <v>111</v>
      </c>
      <c r="F41" s="30">
        <f>P_pro_to*N_pro/nu_motor/nu_esc</f>
        <v>472.23369432314394</v>
      </c>
      <c r="G41" s="7" t="s">
        <v>77</v>
      </c>
      <c r="H41" s="6"/>
      <c r="I41" s="42"/>
    </row>
    <row r="42" spans="1:11" x14ac:dyDescent="0.25">
      <c r="B42" s="33" t="s">
        <v>87</v>
      </c>
      <c r="C42" s="7" t="s">
        <v>25</v>
      </c>
      <c r="D42" s="7" t="s">
        <v>15</v>
      </c>
      <c r="E42" s="7" t="s">
        <v>89</v>
      </c>
      <c r="F42" s="30">
        <f>M_bat_ref*E_bat/E_bat_ref</f>
        <v>0.51328864743278713</v>
      </c>
      <c r="G42" s="7" t="s">
        <v>16</v>
      </c>
      <c r="H42" s="7">
        <v>0.27300000000000002</v>
      </c>
      <c r="I42" s="42"/>
    </row>
    <row r="43" spans="1:11" x14ac:dyDescent="0.25">
      <c r="B43" s="33" t="s">
        <v>87</v>
      </c>
      <c r="C43" s="7" t="s">
        <v>25</v>
      </c>
      <c r="D43" s="7" t="s">
        <v>92</v>
      </c>
      <c r="E43" s="7" t="s">
        <v>93</v>
      </c>
      <c r="F43" s="44">
        <f>E_flight*k_bat/(1-E_bat_dis)</f>
        <v>250439.73567050273</v>
      </c>
      <c r="G43" s="7" t="s">
        <v>94</v>
      </c>
      <c r="H43" s="7">
        <f>133200</f>
        <v>133200</v>
      </c>
      <c r="I43" s="42"/>
      <c r="J43">
        <f>E_bat_ref/3600/M_bat_ref</f>
        <v>135.53113553113553</v>
      </c>
      <c r="K43" t="s">
        <v>118</v>
      </c>
    </row>
    <row r="44" spans="1:11" x14ac:dyDescent="0.25">
      <c r="B44" s="33" t="s">
        <v>87</v>
      </c>
      <c r="C44" s="7" t="s">
        <v>25</v>
      </c>
      <c r="D44" s="7" t="s">
        <v>120</v>
      </c>
      <c r="E44" s="7" t="s">
        <v>109</v>
      </c>
      <c r="F44" s="30">
        <f>P_bat_ref*M_bat/M_bat_ref</f>
        <v>3478.3296620903152</v>
      </c>
      <c r="G44" s="7" t="s">
        <v>77</v>
      </c>
      <c r="H44" s="7">
        <f>50*5*7.4</f>
        <v>1850</v>
      </c>
      <c r="I44" s="42"/>
      <c r="J44" s="48" t="s">
        <v>121</v>
      </c>
    </row>
    <row r="45" spans="1:11" ht="15.75" thickBot="1" x14ac:dyDescent="0.3">
      <c r="B45" s="34" t="s">
        <v>97</v>
      </c>
      <c r="C45" s="35" t="s">
        <v>25</v>
      </c>
      <c r="D45" s="35" t="s">
        <v>112</v>
      </c>
      <c r="E45" s="35" t="s">
        <v>98</v>
      </c>
      <c r="F45" s="36">
        <f>M_pro*N_pro+M_bat+M_payload*(1+RatSM_Load)</f>
        <v>2.5207173911751144</v>
      </c>
      <c r="G45" s="35" t="s">
        <v>16</v>
      </c>
      <c r="H45" s="37"/>
      <c r="I45" s="43"/>
    </row>
    <row r="48" spans="1:11" ht="15.75" thickBot="1" x14ac:dyDescent="0.3">
      <c r="A48" s="3" t="s">
        <v>26</v>
      </c>
      <c r="B48" s="1"/>
      <c r="C48" s="1"/>
      <c r="D48" s="1"/>
      <c r="E48" s="1"/>
      <c r="F48" s="1"/>
    </row>
    <row r="49" spans="1:6" ht="15.75" thickBot="1" x14ac:dyDescent="0.3">
      <c r="A49" s="1"/>
      <c r="B49" s="20" t="s">
        <v>3</v>
      </c>
      <c r="C49" s="21" t="s">
        <v>0</v>
      </c>
      <c r="D49" s="21" t="s">
        <v>1</v>
      </c>
      <c r="E49" s="21" t="s">
        <v>27</v>
      </c>
      <c r="F49" s="22" t="s">
        <v>28</v>
      </c>
    </row>
    <row r="50" spans="1:6" x14ac:dyDescent="0.25">
      <c r="A50" s="1"/>
      <c r="B50" s="13" t="s">
        <v>29</v>
      </c>
      <c r="C50" s="5" t="s">
        <v>103</v>
      </c>
      <c r="D50" s="46">
        <f>MTOW</f>
        <v>2.5207173911751144</v>
      </c>
      <c r="E50" s="38" t="s">
        <v>30</v>
      </c>
      <c r="F50" s="45">
        <f>MTOW_est</f>
        <v>1</v>
      </c>
    </row>
    <row r="51" spans="1:6" x14ac:dyDescent="0.25">
      <c r="A51" s="1"/>
      <c r="B51" s="13" t="s">
        <v>29</v>
      </c>
      <c r="C51" s="5" t="s">
        <v>110</v>
      </c>
      <c r="D51" s="46">
        <f>F41</f>
        <v>472.23369432314394</v>
      </c>
      <c r="E51" s="38" t="s">
        <v>30</v>
      </c>
      <c r="F51" s="45">
        <f>F44</f>
        <v>3478.3296620903152</v>
      </c>
    </row>
    <row r="52" spans="1:6" ht="15.75" thickBot="1" x14ac:dyDescent="0.3">
      <c r="A52" s="1"/>
      <c r="B52" s="16" t="s">
        <v>31</v>
      </c>
      <c r="C52" s="17" t="s">
        <v>32</v>
      </c>
      <c r="D52" s="39">
        <f>MTOW</f>
        <v>2.5207173911751144</v>
      </c>
      <c r="E52" s="17"/>
      <c r="F52" s="19"/>
    </row>
  </sheetData>
  <autoFilter ref="B24:I45" xr:uid="{00000000-0009-0000-0000-000000000000}"/>
  <mergeCells count="1">
    <mergeCell ref="A2:J2"/>
  </mergeCells>
  <conditionalFormatting sqref="D50">
    <cfRule type="cellIs" dxfId="1" priority="9" operator="greaterThan">
      <formula>$F$50</formula>
    </cfRule>
  </conditionalFormatting>
  <conditionalFormatting sqref="D51">
    <cfRule type="cellIs" dxfId="0" priority="6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39</vt:i4>
      </vt:variant>
    </vt:vector>
  </HeadingPairs>
  <TitlesOfParts>
    <vt:vector size="41" baseType="lpstr">
      <vt:lpstr>XDSM</vt:lpstr>
      <vt:lpstr>FirstSizing</vt:lpstr>
      <vt:lpstr>FirstSizing!a_to</vt:lpstr>
      <vt:lpstr>FirstSizing!beta_pro</vt:lpstr>
      <vt:lpstr>FirstSizing!Cp_pro</vt:lpstr>
      <vt:lpstr>FirstSizing!Ct_pro</vt:lpstr>
      <vt:lpstr>FirstSizing!D_pro</vt:lpstr>
      <vt:lpstr>FirstSizing!D_pro_ref</vt:lpstr>
      <vt:lpstr>FirstSizing!E_bat</vt:lpstr>
      <vt:lpstr>FirstSizing!E_bat_dis</vt:lpstr>
      <vt:lpstr>FirstSizing!E_bat_ref</vt:lpstr>
      <vt:lpstr>E_flight</vt:lpstr>
      <vt:lpstr>FirstSizing!F_pro_hov</vt:lpstr>
      <vt:lpstr>FirstSizing!F_pro_to</vt:lpstr>
      <vt:lpstr>FirstSizing!g</vt:lpstr>
      <vt:lpstr>k_bat</vt:lpstr>
      <vt:lpstr>FirstSizing!k_MTOW</vt:lpstr>
      <vt:lpstr>FirstSizing!k_ND</vt:lpstr>
      <vt:lpstr>FirstSizing!M_bat</vt:lpstr>
      <vt:lpstr>FirstSizing!M_bat_ref</vt:lpstr>
      <vt:lpstr>FirstSizing!M_payload</vt:lpstr>
      <vt:lpstr>FirstSizing!M_pro</vt:lpstr>
      <vt:lpstr>FirstSizing!M_pro_ref</vt:lpstr>
      <vt:lpstr>FirstSizing!MTOW</vt:lpstr>
      <vt:lpstr>FirstSizing!MTOW_est</vt:lpstr>
      <vt:lpstr>FirstSizing!N_arm</vt:lpstr>
      <vt:lpstr>FirstSizing!N_pro</vt:lpstr>
      <vt:lpstr>FirstSizing!N_pro_arm</vt:lpstr>
      <vt:lpstr>FirstSizing!n_pro_hov</vt:lpstr>
      <vt:lpstr>FirstSizing!n_pro_to</vt:lpstr>
      <vt:lpstr>FirstSizing!ND_max</vt:lpstr>
      <vt:lpstr>FirstSizing!nu_esc</vt:lpstr>
      <vt:lpstr>nu_motor</vt:lpstr>
      <vt:lpstr>P_bat_ref</vt:lpstr>
      <vt:lpstr>FirstSizing!P_pro_hov</vt:lpstr>
      <vt:lpstr>FirstSizing!P_pro_to</vt:lpstr>
      <vt:lpstr>RatSM_Load</vt:lpstr>
      <vt:lpstr>FirstSizing!rho</vt:lpstr>
      <vt:lpstr>FirstSizing!t_hover</vt:lpstr>
      <vt:lpstr>FirstSizing!w_pro_hov</vt:lpstr>
      <vt:lpstr>FirstSizing!w_pro_to</vt:lpstr>
    </vt:vector>
  </TitlesOfParts>
  <Company>ISAE-SUPAERO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s.delbecq</dc:creator>
  <cp:lastModifiedBy>Marc Budinger</cp:lastModifiedBy>
  <dcterms:created xsi:type="dcterms:W3CDTF">2020-12-03T07:18:28Z</dcterms:created>
  <dcterms:modified xsi:type="dcterms:W3CDTF">2026-04-07T20:13:19Z</dcterms:modified>
</cp:coreProperties>
</file>